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iunone\imola\Scuole\UffRette\Utilita\RETTE\Calcolo_Retta\"/>
    </mc:Choice>
  </mc:AlternateContent>
  <bookViews>
    <workbookView xWindow="180" yWindow="255" windowWidth="14775" windowHeight="7710" tabRatio="261"/>
  </bookViews>
  <sheets>
    <sheet name="Modulo" sheetId="12" r:id="rId1"/>
    <sheet name="Dati" sheetId="11" state="hidden" r:id="rId2"/>
  </sheets>
  <definedNames>
    <definedName name="_xlnm._FilterDatabase" localSheetId="1" hidden="1">Dati!$B$12:$B$31</definedName>
  </definedNames>
  <calcPr calcId="162913"/>
</workbook>
</file>

<file path=xl/calcChain.xml><?xml version="1.0" encoding="utf-8"?>
<calcChain xmlns="http://schemas.openxmlformats.org/spreadsheetml/2006/main">
  <c r="C10" i="12" l="1"/>
  <c r="A10" i="12"/>
  <c r="A7" i="12" l="1"/>
  <c r="F1" i="11" l="1"/>
  <c r="S20" i="11" l="1"/>
  <c r="S28" i="11"/>
  <c r="S13" i="11"/>
  <c r="S21" i="11"/>
  <c r="S29" i="11"/>
  <c r="S14" i="11"/>
  <c r="S22" i="11"/>
  <c r="S30" i="11"/>
  <c r="S15" i="11"/>
  <c r="S23" i="11"/>
  <c r="S31" i="11"/>
  <c r="S16" i="11"/>
  <c r="S24" i="11"/>
  <c r="S12" i="11"/>
  <c r="S17" i="11"/>
  <c r="S25" i="11"/>
  <c r="S18" i="11"/>
  <c r="S26" i="11"/>
  <c r="S19" i="11"/>
  <c r="S27" i="11"/>
  <c r="I19" i="11"/>
  <c r="J19" i="11"/>
  <c r="K19" i="11"/>
  <c r="L19" i="11"/>
  <c r="C7" i="12" l="1"/>
  <c r="C8" i="12"/>
  <c r="B8" i="12"/>
  <c r="B5" i="12"/>
  <c r="A6" i="12" l="1"/>
  <c r="F5" i="11" l="1"/>
  <c r="B6" i="12" s="1"/>
  <c r="G6" i="11" l="1"/>
  <c r="M31" i="11" l="1"/>
  <c r="N31" i="11" s="1"/>
  <c r="M30" i="11"/>
  <c r="N30" i="11" s="1"/>
  <c r="M27" i="11"/>
  <c r="N27" i="11" s="1"/>
  <c r="M29" i="11"/>
  <c r="N29" i="11" s="1"/>
  <c r="M28" i="11"/>
  <c r="N28" i="11" s="1"/>
  <c r="M23" i="11"/>
  <c r="N23" i="11" s="1"/>
  <c r="P23" i="11" s="1"/>
  <c r="R23" i="11" s="1"/>
  <c r="D32" i="11"/>
  <c r="E32" i="11"/>
  <c r="F32" i="11"/>
  <c r="C32" i="11"/>
  <c r="M25" i="11"/>
  <c r="N25" i="11" s="1"/>
  <c r="P25" i="11" s="1"/>
  <c r="R25" i="11" s="1"/>
  <c r="M24" i="11"/>
  <c r="N24" i="11" s="1"/>
  <c r="P24" i="11" s="1"/>
  <c r="R24" i="11" s="1"/>
  <c r="M21" i="11"/>
  <c r="N21" i="11" s="1"/>
  <c r="P21" i="11" s="1"/>
  <c r="R21" i="11" s="1"/>
  <c r="M22" i="11"/>
  <c r="N22" i="11" s="1"/>
  <c r="P22" i="11" s="1"/>
  <c r="R22" i="11" s="1"/>
  <c r="M26" i="11"/>
  <c r="N26" i="11" s="1"/>
  <c r="P28" i="11" l="1"/>
  <c r="P29" i="11"/>
  <c r="P27" i="11"/>
  <c r="R27" i="11" s="1"/>
  <c r="P30" i="11"/>
  <c r="P31" i="11"/>
  <c r="P26" i="11"/>
  <c r="R26" i="11" s="1"/>
  <c r="A9" i="12" l="1"/>
  <c r="M20" i="11" l="1"/>
  <c r="N20" i="11" s="1"/>
  <c r="P20" i="11" s="1"/>
  <c r="R20" i="11" s="1"/>
  <c r="M17" i="11"/>
  <c r="M13" i="11"/>
  <c r="M14" i="11"/>
  <c r="M15" i="11"/>
  <c r="M16" i="11"/>
  <c r="M12" i="11"/>
  <c r="H19" i="11" l="1"/>
  <c r="F3" i="11"/>
  <c r="J3" i="11"/>
  <c r="J1" i="11"/>
  <c r="N12" i="11"/>
  <c r="N15" i="11"/>
  <c r="N17" i="11"/>
  <c r="N14" i="11"/>
  <c r="P14" i="11" s="1"/>
  <c r="N13" i="11"/>
  <c r="O28" i="11" l="1"/>
  <c r="Q28" i="11" s="1"/>
  <c r="O27" i="11"/>
  <c r="Q27" i="11" s="1"/>
  <c r="T27" i="11" s="1"/>
  <c r="O30" i="11"/>
  <c r="Q30" i="11" s="1"/>
  <c r="O31" i="11"/>
  <c r="Q31" i="11" s="1"/>
  <c r="O29" i="11"/>
  <c r="Q29" i="11" s="1"/>
  <c r="O20" i="11"/>
  <c r="Q20" i="11" s="1"/>
  <c r="T20" i="11" s="1"/>
  <c r="O23" i="11"/>
  <c r="Q23" i="11" s="1"/>
  <c r="T23" i="11" s="1"/>
  <c r="O25" i="11"/>
  <c r="Q25" i="11" s="1"/>
  <c r="T25" i="11" s="1"/>
  <c r="O21" i="11"/>
  <c r="Q21" i="11" s="1"/>
  <c r="T21" i="11" s="1"/>
  <c r="O26" i="11"/>
  <c r="Q26" i="11" s="1"/>
  <c r="T26" i="11" s="1"/>
  <c r="O24" i="11"/>
  <c r="Q24" i="11" s="1"/>
  <c r="T24" i="11" s="1"/>
  <c r="O22" i="11"/>
  <c r="Q22" i="11" s="1"/>
  <c r="T22" i="11" s="1"/>
  <c r="O12" i="11"/>
  <c r="M18" i="11"/>
  <c r="P17" i="11"/>
  <c r="O17" i="11"/>
  <c r="O14" i="11"/>
  <c r="Q14" i="11" s="1"/>
  <c r="O13" i="11"/>
  <c r="Q13" i="11" s="1"/>
  <c r="P13" i="11"/>
  <c r="P15" i="11"/>
  <c r="O15" i="11"/>
  <c r="Q15" i="11" s="1"/>
  <c r="P12" i="11"/>
  <c r="R12" i="11" s="1"/>
  <c r="H2" i="11" s="1"/>
  <c r="N16" i="11"/>
  <c r="M19" i="11" l="1"/>
  <c r="N19" i="11" s="1"/>
  <c r="P19" i="11" s="1"/>
  <c r="G32" i="11"/>
  <c r="Q12" i="11"/>
  <c r="T12" i="11" s="1"/>
  <c r="N18" i="11"/>
  <c r="P18" i="11" s="1"/>
  <c r="O16" i="11"/>
  <c r="Q16" i="11" s="1"/>
  <c r="P16" i="11"/>
  <c r="O19" i="11" l="1"/>
  <c r="Q19" i="11" s="1"/>
  <c r="O18" i="11"/>
  <c r="Q18" i="11" s="1"/>
  <c r="F6" i="11" l="1"/>
  <c r="B7" i="12" l="1"/>
  <c r="F8" i="11"/>
  <c r="B10" i="12" s="1"/>
  <c r="H6" i="11"/>
  <c r="J6" i="11" s="1"/>
  <c r="F7" i="11"/>
  <c r="B9" i="12" s="1"/>
  <c r="C9" i="12" s="1"/>
</calcChain>
</file>

<file path=xl/sharedStrings.xml><?xml version="1.0" encoding="utf-8"?>
<sst xmlns="http://schemas.openxmlformats.org/spreadsheetml/2006/main" count="67" uniqueCount="57">
  <si>
    <t>Importo ISEE</t>
  </si>
  <si>
    <t>Trasporto</t>
  </si>
  <si>
    <t>Retta assegnata</t>
  </si>
  <si>
    <t>contributo (o sconto)</t>
  </si>
  <si>
    <t>contributo (o sconto) con pluriutenza</t>
  </si>
  <si>
    <t>Kontributo Settimanale</t>
  </si>
  <si>
    <t>Kontributo Settimanale + Pluriutenza</t>
  </si>
  <si>
    <t>Servizio</t>
  </si>
  <si>
    <t>Tipo Servizio</t>
  </si>
  <si>
    <t>Mensa 5 gg/set</t>
  </si>
  <si>
    <t>Mensa 4 gg/set</t>
  </si>
  <si>
    <t>Mensa 3 gg/set</t>
  </si>
  <si>
    <t>Mensa 2 gg/set</t>
  </si>
  <si>
    <t>Mensa 1 gg/set</t>
  </si>
  <si>
    <t>Nido Tempo Normale</t>
  </si>
  <si>
    <t>Nido part time</t>
  </si>
  <si>
    <t>Sconto/contributo</t>
  </si>
  <si>
    <t>Retta Massima</t>
  </si>
  <si>
    <t>N° Figli minori</t>
  </si>
  <si>
    <t>differenza</t>
  </si>
  <si>
    <t>solo agev</t>
  </si>
  <si>
    <t>%</t>
  </si>
  <si>
    <t>Descrizione aggiuntiva</t>
  </si>
  <si>
    <t>Nidi comunali, nidi privati convenzionati.</t>
  </si>
  <si>
    <t>N°</t>
  </si>
  <si>
    <t>Retta ass. con riduz. figli minori</t>
  </si>
  <si>
    <t>Retta calcolata</t>
  </si>
  <si>
    <t>Scuole dell'Infanzia Comunali, Statali, scuole Primarie TP</t>
  </si>
  <si>
    <t>Scuole Primarie Tempo Ordinario</t>
  </si>
  <si>
    <t>Retta applicata (con riduz. figli minori)</t>
  </si>
  <si>
    <t>Pluriutenza o Famiglie Numerose</t>
  </si>
  <si>
    <t>1 = No Pluriutenza o Fimiglia Numerosa
2= Pluriutenza (2 o più figli con servizi attivi)
3= Famiglia Numerosa (3 o più figli minori)</t>
  </si>
  <si>
    <t>Tetto agevolativo 2° livello</t>
  </si>
  <si>
    <t>Tetto agevolativo 3° livello</t>
  </si>
  <si>
    <t>Tetto agevolativo 4° livello</t>
  </si>
  <si>
    <t>Tetto agevolativo 5° livello minimo</t>
  </si>
  <si>
    <t>Tetto agevolativo 1° livello massimo</t>
  </si>
  <si>
    <t>Retta 1°livello massima</t>
  </si>
  <si>
    <t>Retta 2°livello</t>
  </si>
  <si>
    <t>Retta 3°livello</t>
  </si>
  <si>
    <t>Retta 4°livello</t>
  </si>
  <si>
    <t>Retta 5°livello minima</t>
  </si>
  <si>
    <t>€ 17.000,00</t>
  </si>
  <si>
    <t>Infanzia S.G. Bosco</t>
  </si>
  <si>
    <t>Infanzia Giardino d'Infanzia</t>
  </si>
  <si>
    <t>Infanzia S.Caterina</t>
  </si>
  <si>
    <t>Infanzia Villa Clelia</t>
  </si>
  <si>
    <t>Infanzia S.Spirito</t>
  </si>
  <si>
    <t>Infanzia Le Favole di Alice</t>
  </si>
  <si>
    <t>Infanzia Oasi S.Teresa</t>
  </si>
  <si>
    <t>Doposcuola 5 gg/set</t>
  </si>
  <si>
    <t>Doposcuola 4 gg/set</t>
  </si>
  <si>
    <t>Doposcuola 3 gg/set</t>
  </si>
  <si>
    <t>Doposcuola 2 gg/set</t>
  </si>
  <si>
    <t>Doposcuola 1 gg/set</t>
  </si>
  <si>
    <t>Doposcuola</t>
  </si>
  <si>
    <t>Retta al Netto del Bonus INPS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</si>
</sst>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€&quot;\ * #,##0.00_);_(&quot;€&quot;\ * \(#,##0.00\);_(&quot;€&quot;\ * &quot;-&quot;??_);_(@_)"/>
    <numFmt numFmtId="165" formatCode="\€\ #,##0.00"/>
    <numFmt numFmtId="166" formatCode="&quot;€&quot;\ #,##0.00"/>
    <numFmt numFmtId="167" formatCode="[$€-2]\ #,##0.00;[Red]\-[$€-2]\ #,##0.00"/>
    <numFmt numFmtId="168" formatCode="_-* #,##0.00\ [$€-410]_-;\-* #,##0.00\ [$€-410]_-;_-* &quot;-&quot;??\ [$€-410]_-;_-@_-"/>
    <numFmt numFmtId="169" formatCode="&quot;€&quot;\ #,##0.0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sz val="10"/>
      <color indexed="57"/>
      <name val="Arial"/>
      <family val="2"/>
    </font>
    <font>
      <u/>
      <sz val="6"/>
      <name val="Arial"/>
      <family val="2"/>
    </font>
    <font>
      <i/>
      <sz val="4"/>
      <name val="Times New Roman"/>
      <family val="1"/>
    </font>
    <font>
      <b/>
      <sz val="8"/>
      <name val="Arial"/>
      <family val="2"/>
    </font>
    <font>
      <sz val="3"/>
      <name val="Arial"/>
      <family val="2"/>
    </font>
    <font>
      <sz val="10"/>
      <color indexed="10"/>
      <name val="Arial"/>
      <family val="2"/>
    </font>
    <font>
      <b/>
      <sz val="4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4" borderId="3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9" fontId="3" fillId="0" borderId="0" xfId="2" applyFont="1" applyBorder="1"/>
    <xf numFmtId="0" fontId="2" fillId="0" borderId="0" xfId="0" applyFont="1" applyBorder="1"/>
    <xf numFmtId="165" fontId="2" fillId="5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Border="1"/>
    <xf numFmtId="165" fontId="2" fillId="6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0" borderId="0" xfId="0" applyFont="1" applyAlignment="1">
      <alignment horizontal="left" vertical="top"/>
    </xf>
    <xf numFmtId="0" fontId="2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166" fontId="17" fillId="0" borderId="0" xfId="0" applyNumberFormat="1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 vertical="center"/>
    </xf>
    <xf numFmtId="168" fontId="0" fillId="0" borderId="0" xfId="0" applyNumberFormat="1" applyBorder="1"/>
    <xf numFmtId="0" fontId="16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6" fontId="2" fillId="2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169" fontId="2" fillId="2" borderId="0" xfId="1" applyNumberFormat="1" applyFont="1" applyFill="1" applyBorder="1" applyAlignment="1">
      <alignment horizontal="center" vertical="center"/>
    </xf>
    <xf numFmtId="166" fontId="8" fillId="2" borderId="2" xfId="1" applyNumberFormat="1" applyFont="1" applyFill="1" applyBorder="1" applyAlignment="1">
      <alignment horizontal="center" vertical="center"/>
    </xf>
    <xf numFmtId="166" fontId="7" fillId="3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0" fillId="0" borderId="0" xfId="0" applyFont="1" applyFill="1" applyBorder="1"/>
    <xf numFmtId="166" fontId="21" fillId="0" borderId="0" xfId="0" applyNumberFormat="1" applyFont="1" applyFill="1" applyBorder="1" applyAlignment="1">
      <alignment horizontal="center"/>
    </xf>
    <xf numFmtId="0" fontId="2" fillId="8" borderId="0" xfId="0" applyFont="1" applyFill="1" applyBorder="1"/>
    <xf numFmtId="165" fontId="2" fillId="8" borderId="0" xfId="0" applyNumberFormat="1" applyFont="1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66" fontId="12" fillId="8" borderId="0" xfId="0" applyNumberFormat="1" applyFont="1" applyFill="1" applyBorder="1" applyAlignment="1">
      <alignment vertical="center" wrapText="1"/>
    </xf>
    <xf numFmtId="166" fontId="0" fillId="8" borderId="0" xfId="0" applyNumberFormat="1" applyFill="1" applyBorder="1" applyAlignment="1">
      <alignment vertical="center" wrapText="1"/>
    </xf>
    <xf numFmtId="0" fontId="0" fillId="8" borderId="0" xfId="0" applyFill="1" applyBorder="1"/>
    <xf numFmtId="167" fontId="2" fillId="8" borderId="0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right" vertical="center"/>
    </xf>
    <xf numFmtId="0" fontId="23" fillId="0" borderId="0" xfId="3" applyAlignment="1">
      <alignment horizontal="center" vertical="center"/>
    </xf>
    <xf numFmtId="0" fontId="23" fillId="0" borderId="0" xfId="3" applyAlignment="1">
      <alignment horizontal="left" vertical="center"/>
    </xf>
    <xf numFmtId="0" fontId="18" fillId="2" borderId="0" xfId="0" applyFont="1" applyFill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4" fillId="7" borderId="0" xfId="0" applyNumberFormat="1" applyFont="1" applyFill="1" applyBorder="1" applyAlignment="1">
      <alignment horizontal="center" vertical="center"/>
    </xf>
    <xf numFmtId="0" fontId="4" fillId="7" borderId="0" xfId="1" applyNumberFormat="1" applyFont="1" applyFill="1" applyBorder="1" applyAlignment="1">
      <alignment horizontal="center" vertical="center"/>
    </xf>
    <xf numFmtId="1" fontId="4" fillId="7" borderId="0" xfId="0" applyNumberFormat="1" applyFont="1" applyFill="1" applyBorder="1" applyAlignment="1">
      <alignment horizontal="center" vertical="center"/>
    </xf>
    <xf numFmtId="166" fontId="24" fillId="0" borderId="0" xfId="4" applyNumberFormat="1" applyFont="1" applyProtection="1">
      <protection locked="0"/>
    </xf>
    <xf numFmtId="0" fontId="18" fillId="2" borderId="0" xfId="0" applyFont="1" applyFill="1" applyAlignment="1" applyProtection="1">
      <alignment horizontal="right" vertical="center" wrapText="1"/>
      <protection locked="0"/>
    </xf>
    <xf numFmtId="0" fontId="18" fillId="2" borderId="0" xfId="0" applyFont="1" applyFill="1" applyAlignment="1" applyProtection="1">
      <alignment horizontal="justify" vertical="center" wrapText="1"/>
      <protection locked="0"/>
    </xf>
    <xf numFmtId="0" fontId="22" fillId="3" borderId="1" xfId="0" applyFont="1" applyFill="1" applyBorder="1" applyAlignment="1" applyProtection="1">
      <alignment horizontal="right" vertical="center" wrapText="1"/>
    </xf>
  </cellXfs>
  <cellStyles count="5">
    <cellStyle name="Collegamento ipertestuale" xfId="3" builtinId="8"/>
    <cellStyle name="Euro" xfId="1"/>
    <cellStyle name="Normale" xfId="0" builtinId="0"/>
    <cellStyle name="Normale 2" xfId="4"/>
    <cellStyle name="Percentuale" xfId="2" builtinId="5"/>
  </cellStyles>
  <dxfs count="10"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font>
        <color rgb="FFCCFFFF"/>
      </font>
    </dxf>
    <dxf>
      <fill>
        <patternFill>
          <bgColor rgb="FFCCFFFF"/>
        </patternFill>
      </fill>
    </dxf>
  </dxfs>
  <tableStyles count="0" defaultTableStyle="TableStyleMedium9" defaultPivotStyle="PivotStyleLight16"/>
  <colors>
    <mruColors>
      <color rgb="FFCCFF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16" fmlaLink="Dati!$F$2" fmlaRange="Dati!$B$12:$B$31" noThreeD="1" sel="7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9525</xdr:colOff>
          <xdr:row>2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" name="Elenco1" displayName="Elenco1" ref="B12:C32" totalsRowCount="1" headerRowDxfId="5" dataDxfId="4">
  <autoFilter ref="B12:C31"/>
  <tableColumns count="2">
    <tableColumn id="1" name="Mensa 5 gg/set" dataDxfId="3" totalsRowDxfId="1"/>
    <tableColumn id="2" name="€ 17.000,00" totalsRowFunction="custom" dataDxfId="2" totalsRowDxfId="0">
      <totalsRowFormula>($F$1-D18)*(H18-I18)/(C18-D18)+I18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tabColor indexed="10"/>
    <pageSetUpPr autoPageBreaks="0"/>
  </sheetPr>
  <dimension ref="A1:C13"/>
  <sheetViews>
    <sheetView showGridLines="0" showRowColHeaders="0" tabSelected="1" showOutlineSymbols="0" zoomScale="350" zoomScaleNormal="350" workbookViewId="0">
      <selection activeCell="B3" sqref="B3"/>
    </sheetView>
  </sheetViews>
  <sheetFormatPr defaultRowHeight="12.75" x14ac:dyDescent="0.2"/>
  <cols>
    <col min="1" max="1" width="14.7109375" style="3" customWidth="1"/>
    <col min="2" max="2" width="20.42578125" style="1" customWidth="1"/>
    <col min="3" max="3" width="15.7109375" style="6" customWidth="1"/>
    <col min="4" max="16384" width="9.140625" style="1"/>
  </cols>
  <sheetData>
    <row r="1" spans="1:3" ht="15" customHeight="1" x14ac:dyDescent="0.25">
      <c r="A1" s="4" t="s">
        <v>0</v>
      </c>
      <c r="B1" s="67">
        <v>26000</v>
      </c>
      <c r="C1" s="30"/>
    </row>
    <row r="2" spans="1:3" ht="15.75" customHeight="1" x14ac:dyDescent="0.2">
      <c r="A2" s="4" t="s">
        <v>8</v>
      </c>
      <c r="B2" s="5">
        <v>7293</v>
      </c>
      <c r="C2" s="29"/>
    </row>
    <row r="3" spans="1:3" ht="19.5" customHeight="1" x14ac:dyDescent="0.2">
      <c r="A3" s="33" t="s">
        <v>30</v>
      </c>
      <c r="B3" s="19">
        <v>1</v>
      </c>
      <c r="C3" s="38" t="s">
        <v>31</v>
      </c>
    </row>
    <row r="4" spans="1:3" ht="10.5" customHeight="1" x14ac:dyDescent="0.2">
      <c r="A4" s="32"/>
      <c r="B4" s="5"/>
      <c r="C4" s="29"/>
    </row>
    <row r="5" spans="1:3" ht="12.75" customHeight="1" x14ac:dyDescent="0.2">
      <c r="A5" s="4"/>
      <c r="B5" s="7" t="str">
        <f>IF(Dati!$F$2&gt;8, "","Importo mensile")</f>
        <v>Importo mensile</v>
      </c>
      <c r="C5" s="29"/>
    </row>
    <row r="6" spans="1:3" ht="12.75" customHeight="1" x14ac:dyDescent="0.2">
      <c r="A6" s="55" t="str">
        <f>IF(Dati!$F$2&gt;8, "","Retta standard")</f>
        <v>Retta standard</v>
      </c>
      <c r="B6" s="43">
        <f>IF(Dati!$F$2&gt;8,"",Dati!$F$5)</f>
        <v>600</v>
      </c>
      <c r="C6" s="29"/>
    </row>
    <row r="7" spans="1:3" ht="15.75" customHeight="1" x14ac:dyDescent="0.2">
      <c r="A7" s="70" t="str">
        <f>IF(Dati!$F$2&gt;8,"","Retta da pagare al Comune")</f>
        <v>Retta da pagare al Comune</v>
      </c>
      <c r="B7" s="44">
        <f>IF(Dati!$F$2&gt;8, "",Dati!$F$6)</f>
        <v>272.73</v>
      </c>
      <c r="C7" s="59" t="str">
        <f>IF(OR(Dati!$F$2=7,Dati!$F$2=8),"Gli importi del Nido  tengono già conto del Contributo Regionale","")</f>
        <v>Gli importi del Nido  tengono già conto del Contributo Regionale</v>
      </c>
    </row>
    <row r="8" spans="1:3" x14ac:dyDescent="0.2">
      <c r="A8" s="36"/>
      <c r="B8" s="39" t="str">
        <f>IF(Dati!$F$2&gt;8,"Mensile", "")</f>
        <v/>
      </c>
      <c r="C8" s="39" t="str">
        <f>IF(Dati!$F$2&gt;15,"Giornaliero", "")</f>
        <v/>
      </c>
    </row>
    <row r="9" spans="1:3" x14ac:dyDescent="0.2">
      <c r="A9" s="56" t="str">
        <f>IF(Dati!$F$2&lt;=8,"Agevolazione","CONTRIBUTO")</f>
        <v>Agevolazione</v>
      </c>
      <c r="B9" s="40">
        <f>Dati!$F$7</f>
        <v>327.27</v>
      </c>
      <c r="C9" s="42" t="str">
        <f>IF(Dati!$F$2&gt;15,ROUND(B9/(4*(20-Dati!$F$2+1)),3), "")</f>
        <v/>
      </c>
    </row>
    <row r="10" spans="1:3" ht="28.5" customHeight="1" x14ac:dyDescent="0.2">
      <c r="A10" s="68" t="str">
        <f>IF(OR(Dati!$F$2=8,Dati!$F$2=7),HYPERLINK("https://www.inps.it/it/it/dettaglio-scheda.it.schede-servizio-strumento.schede-servizi.bonus-asilo-nido-e-forme-di-supporto-presso-la-propria-abitazione-51105.bonus-asilo-nido-e-forme-di-supporto-presso-la-propria-abitazione.html", "Retta a carico del genitore al netto del BONUS INPS (base) - CLICCA QUI per INFORMAZIONI"),"")</f>
        <v>Retta a carico del genitore al netto del BONUS INPS (base) - CLICCA QUI per INFORMAZIONI</v>
      </c>
      <c r="B10" s="40">
        <f>IF(OR(Dati!$F$2=8,Dati!$F$2=7),Dati!$F$8,"")</f>
        <v>45.460000000000008</v>
      </c>
      <c r="C10" s="69" t="str">
        <f>IF(OR(Dati!$F$2=7,Dati!$F$2=8),HYPERLINK("https://serviziweb2.inps.it/PassiWeb/jsp/spid/loginSPID.jsp?uri=https%3A%2F%2Fserviziweb2.inps.it%2FAS0207%2FDomandeBonusNido%2F&amp;S=S", "Il BONUS INPS lo può richiedere il genitore pagante direttamente all'INPS che lo eroga al genitore - CLICCA QUI per RICHIEDERLO"),"")</f>
        <v>Il BONUS INPS lo può richiedere il genitore pagante direttamente all'INPS che lo eroga al genitore - CLICCA QUI per RICHIEDERLO</v>
      </c>
    </row>
    <row r="11" spans="1:3" x14ac:dyDescent="0.2">
      <c r="A11" s="31"/>
      <c r="C11" s="58"/>
    </row>
    <row r="12" spans="1:3" x14ac:dyDescent="0.2">
      <c r="A12" s="2"/>
    </row>
    <row r="13" spans="1:3" x14ac:dyDescent="0.2">
      <c r="C13" s="57"/>
    </row>
  </sheetData>
  <sheetProtection sheet="1" insertHyperlinks="0" selectLockedCells="1"/>
  <phoneticPr fontId="0" type="noConversion"/>
  <pageMargins left="0.75" right="0.75" top="1" bottom="1" header="0.5" footer="0.5"/>
  <pageSetup paperSize="9" scale="15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9525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B01A307-DF68-43E5-919A-DCF24657C2A4}">
            <xm:f>Dati!$F$2&gt;8</xm:f>
            <x14:dxf>
              <fill>
                <patternFill>
                  <bgColor rgb="FFCCFFFF"/>
                </patternFill>
              </fill>
            </x14:dxf>
          </x14:cfRule>
          <x14:cfRule type="expression" priority="3" id="{16EFCC35-AF62-4766-92AD-60987FE10883}">
            <xm:f>Dati!$F$2&gt;8</xm:f>
            <x14:dxf>
              <font>
                <color rgb="FFCCFFFF"/>
              </font>
            </x14:dxf>
          </x14:cfRule>
          <xm:sqref>A5:B7</xm:sqref>
        </x14:conditionalFormatting>
        <x14:conditionalFormatting xmlns:xm="http://schemas.microsoft.com/office/excel/2006/main">
          <x14:cfRule type="expression" priority="1" id="{FDEB2BC3-D7BF-458F-A8DB-213DC2368D56}">
            <xm:f>Dati!$F$2&gt;8</xm:f>
            <x14:dxf>
              <border>
                <left/>
                <right/>
                <top/>
                <bottom/>
                <vertical/>
                <horizontal/>
              </border>
            </x14:dxf>
          </x14:cfRule>
          <xm:sqref>A6:B7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V35"/>
  <sheetViews>
    <sheetView showGridLines="0" zoomScaleNormal="100" workbookViewId="0">
      <selection activeCell="D38" sqref="D38"/>
    </sheetView>
  </sheetViews>
  <sheetFormatPr defaultRowHeight="12.75" x14ac:dyDescent="0.2"/>
  <cols>
    <col min="1" max="1" width="3" style="9" bestFit="1" customWidth="1"/>
    <col min="2" max="2" width="26.7109375" style="9" customWidth="1"/>
    <col min="3" max="3" width="11.7109375" style="9" bestFit="1" customWidth="1"/>
    <col min="4" max="4" width="11.7109375" style="9" customWidth="1"/>
    <col min="5" max="5" width="11.5703125" style="9" customWidth="1"/>
    <col min="6" max="6" width="10.85546875" style="9" bestFit="1" customWidth="1"/>
    <col min="7" max="7" width="10.7109375" style="9" bestFit="1" customWidth="1"/>
    <col min="8" max="8" width="11.28515625" style="9" customWidth="1"/>
    <col min="9" max="9" width="9.7109375" style="9" customWidth="1"/>
    <col min="10" max="10" width="9" style="9" bestFit="1" customWidth="1"/>
    <col min="11" max="11" width="10.5703125" style="9" customWidth="1"/>
    <col min="12" max="12" width="11.28515625" style="9" customWidth="1"/>
    <col min="13" max="13" width="12.140625" style="9" customWidth="1"/>
    <col min="14" max="15" width="12.5703125" style="9" bestFit="1" customWidth="1"/>
    <col min="16" max="16" width="14.28515625" style="9" customWidth="1"/>
    <col min="17" max="17" width="16.140625" style="9" customWidth="1"/>
    <col min="18" max="19" width="12.42578125" style="9" customWidth="1"/>
    <col min="20" max="16384" width="9.140625" style="9"/>
  </cols>
  <sheetData>
    <row r="1" spans="1:21" ht="13.5" customHeight="1" x14ac:dyDescent="0.25">
      <c r="B1" s="63" t="s">
        <v>0</v>
      </c>
      <c r="C1" s="63"/>
      <c r="D1" s="21"/>
      <c r="E1" s="17"/>
      <c r="F1" s="64">
        <f>Modulo!B1</f>
        <v>26000</v>
      </c>
      <c r="G1" s="64"/>
      <c r="H1" s="8"/>
      <c r="I1" s="8"/>
      <c r="J1" s="8" t="b">
        <f>F1=Modulo!B1</f>
        <v>1</v>
      </c>
      <c r="K1" s="8"/>
    </row>
    <row r="2" spans="1:21" ht="13.5" customHeight="1" x14ac:dyDescent="0.25">
      <c r="B2" s="63" t="s">
        <v>8</v>
      </c>
      <c r="C2" s="63"/>
      <c r="D2" s="21"/>
      <c r="E2" s="17"/>
      <c r="F2" s="65">
        <v>7</v>
      </c>
      <c r="G2" s="65"/>
      <c r="H2" s="8">
        <f>INDEX(B12:U19,F2,17)</f>
        <v>0</v>
      </c>
      <c r="I2" s="8"/>
      <c r="J2" s="8"/>
      <c r="K2" s="8"/>
    </row>
    <row r="3" spans="1:21" ht="13.5" customHeight="1" x14ac:dyDescent="0.25">
      <c r="B3" s="63" t="s">
        <v>18</v>
      </c>
      <c r="C3" s="63"/>
      <c r="D3" s="21"/>
      <c r="E3" s="17"/>
      <c r="F3" s="66">
        <f>Modulo!B3</f>
        <v>1</v>
      </c>
      <c r="G3" s="66"/>
      <c r="H3" s="8"/>
      <c r="I3" s="8"/>
      <c r="J3" s="26">
        <f>Modulo!B3</f>
        <v>1</v>
      </c>
      <c r="K3" s="8"/>
    </row>
    <row r="4" spans="1:21" ht="12.75" customHeight="1" x14ac:dyDescent="0.25">
      <c r="B4" s="10"/>
      <c r="F4" s="11"/>
      <c r="J4" s="8"/>
      <c r="K4" s="8"/>
    </row>
    <row r="5" spans="1:21" ht="15.75" x14ac:dyDescent="0.25">
      <c r="B5" s="62" t="s">
        <v>17</v>
      </c>
      <c r="C5" s="62"/>
      <c r="D5" s="62"/>
      <c r="E5" s="62"/>
      <c r="F5" s="12">
        <f>INDEX(B12:U31,F2,7)</f>
        <v>600</v>
      </c>
      <c r="G5" s="18" t="s">
        <v>20</v>
      </c>
      <c r="H5" s="18" t="s">
        <v>19</v>
      </c>
      <c r="I5" s="18"/>
      <c r="J5" s="21" t="s">
        <v>21</v>
      </c>
      <c r="K5" s="21"/>
    </row>
    <row r="6" spans="1:21" ht="15.75" x14ac:dyDescent="0.25">
      <c r="B6" s="62" t="s">
        <v>29</v>
      </c>
      <c r="C6" s="62"/>
      <c r="D6" s="62"/>
      <c r="E6" s="62"/>
      <c r="F6" s="12">
        <f>INDEX(B12:U31,F2,14)</f>
        <v>272.73</v>
      </c>
      <c r="G6" s="20">
        <f>INDEX(B12:U26,F2,11)</f>
        <v>68</v>
      </c>
      <c r="H6" s="20">
        <f>G6-F6</f>
        <v>-204.73000000000002</v>
      </c>
      <c r="I6" s="20"/>
      <c r="J6" s="22">
        <f>H6/G6</f>
        <v>-3.0107352941176475</v>
      </c>
      <c r="K6" s="22"/>
    </row>
    <row r="7" spans="1:21" ht="15.75" x14ac:dyDescent="0.25">
      <c r="B7" s="62" t="s">
        <v>16</v>
      </c>
      <c r="C7" s="62"/>
      <c r="D7" s="62"/>
      <c r="E7" s="62"/>
      <c r="F7" s="12">
        <f>F5-F6</f>
        <v>327.27</v>
      </c>
      <c r="J7" s="8"/>
      <c r="K7" s="8"/>
    </row>
    <row r="8" spans="1:21" ht="15.75" x14ac:dyDescent="0.25">
      <c r="B8" s="62" t="s">
        <v>56</v>
      </c>
      <c r="C8" s="62"/>
      <c r="D8" s="62"/>
      <c r="E8" s="62"/>
      <c r="F8" s="12">
        <f>IF(F6-INDEX(B12:U31,F2,18)&lt;=0,0,F6-INDEX(B12:U31,F2,18))</f>
        <v>45.460000000000008</v>
      </c>
    </row>
    <row r="9" spans="1:21" s="23" customFormat="1" ht="11.25" customHeight="1" x14ac:dyDescent="0.2"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45">
        <v>18</v>
      </c>
    </row>
    <row r="10" spans="1:21" x14ac:dyDescent="0.2">
      <c r="C10" s="11"/>
      <c r="D10" s="11"/>
      <c r="E10" s="11"/>
      <c r="F10" s="11"/>
      <c r="G10" s="60"/>
      <c r="H10" s="60"/>
      <c r="I10" s="60"/>
      <c r="J10" s="60"/>
      <c r="K10" s="60"/>
      <c r="L10" s="60"/>
      <c r="M10" s="60"/>
      <c r="N10" s="61"/>
      <c r="O10" s="61"/>
    </row>
    <row r="11" spans="1:21" ht="49.5" customHeight="1" x14ac:dyDescent="0.2">
      <c r="A11" s="18" t="s">
        <v>24</v>
      </c>
      <c r="B11" s="13" t="s">
        <v>7</v>
      </c>
      <c r="C11" s="14" t="s">
        <v>36</v>
      </c>
      <c r="D11" s="14" t="s">
        <v>32</v>
      </c>
      <c r="E11" s="14" t="s">
        <v>33</v>
      </c>
      <c r="F11" s="14" t="s">
        <v>34</v>
      </c>
      <c r="G11" s="14" t="s">
        <v>35</v>
      </c>
      <c r="H11" s="14" t="s">
        <v>37</v>
      </c>
      <c r="I11" s="14" t="s">
        <v>38</v>
      </c>
      <c r="J11" s="14" t="s">
        <v>39</v>
      </c>
      <c r="K11" s="14" t="s">
        <v>40</v>
      </c>
      <c r="L11" s="14" t="s">
        <v>41</v>
      </c>
      <c r="M11" s="14" t="s">
        <v>26</v>
      </c>
      <c r="N11" s="25" t="s">
        <v>2</v>
      </c>
      <c r="O11" s="24" t="s">
        <v>25</v>
      </c>
      <c r="P11" s="27" t="s">
        <v>3</v>
      </c>
      <c r="Q11" s="15" t="s">
        <v>4</v>
      </c>
      <c r="R11" s="16" t="s">
        <v>5</v>
      </c>
      <c r="S11" s="16"/>
      <c r="T11" s="16" t="s">
        <v>6</v>
      </c>
      <c r="U11" s="16" t="s">
        <v>22</v>
      </c>
    </row>
    <row r="12" spans="1:21" x14ac:dyDescent="0.2">
      <c r="A12" s="11">
        <v>1</v>
      </c>
      <c r="B12" s="48" t="s">
        <v>9</v>
      </c>
      <c r="C12" s="49" t="s">
        <v>42</v>
      </c>
      <c r="D12" s="50">
        <v>17000</v>
      </c>
      <c r="E12" s="50">
        <v>14000</v>
      </c>
      <c r="F12" s="50"/>
      <c r="G12" s="50">
        <v>5000</v>
      </c>
      <c r="H12" s="51">
        <v>151.69999999999999</v>
      </c>
      <c r="I12" s="51">
        <v>140.55000000000001</v>
      </c>
      <c r="J12" s="53"/>
      <c r="K12" s="53"/>
      <c r="L12" s="51">
        <v>40.25</v>
      </c>
      <c r="M12" s="34">
        <f>ROUND(IF($F$1&gt;=D12,H12,IF($F$1&gt;=E12,(($F$1-E12)/(D12-E12))*(H12-I12)+I12,IF($F$1&gt;=G12, (($F$1-G12)/(E12-G12))*(I12-L12)+L12,L12))),2)</f>
        <v>151.69999999999999</v>
      </c>
      <c r="N12" s="25">
        <f>M12</f>
        <v>151.69999999999999</v>
      </c>
      <c r="O12" s="24">
        <f>N12*IF(AND($F$3=2,$F$1&lt;D12),0.8,IF(AND($F$3&gt;=3,$F$1&lt;D12),0.7,1))</f>
        <v>151.69999999999999</v>
      </c>
      <c r="P12" s="27">
        <f t="shared" ref="P12:P19" si="0">H12-N12</f>
        <v>0</v>
      </c>
      <c r="Q12" s="16">
        <f>H12-O12</f>
        <v>0</v>
      </c>
      <c r="R12" s="16">
        <f>ROUND(P12/4,2)</f>
        <v>0</v>
      </c>
      <c r="S12" s="16">
        <f>ROUND(IF($F$1&gt;40000,136.37,IF($F$1&gt;25000,227.27,272.73)),2)</f>
        <v>227.27</v>
      </c>
      <c r="T12" s="16">
        <f>ROUND(Q12/4,2)</f>
        <v>0</v>
      </c>
      <c r="U12" s="9" t="s">
        <v>27</v>
      </c>
    </row>
    <row r="13" spans="1:21" x14ac:dyDescent="0.2">
      <c r="A13" s="11">
        <v>2</v>
      </c>
      <c r="B13" s="48" t="s">
        <v>10</v>
      </c>
      <c r="C13" s="54">
        <v>17000</v>
      </c>
      <c r="D13" s="50">
        <v>17000</v>
      </c>
      <c r="E13" s="50">
        <v>14000</v>
      </c>
      <c r="F13" s="50"/>
      <c r="G13" s="50">
        <v>5000</v>
      </c>
      <c r="H13" s="51">
        <v>121.36</v>
      </c>
      <c r="I13" s="51">
        <v>112.44</v>
      </c>
      <c r="J13" s="53"/>
      <c r="K13" s="53"/>
      <c r="L13" s="51">
        <v>32.200000000000003</v>
      </c>
      <c r="M13" s="34">
        <f t="shared" ref="M13:M16" si="1">ROUND(IF($F$1&gt;=D13,H13,IF($F$1&gt;=E13,(($F$1-E13)/(D13-E13))*(H13-I13)+I13,IF($F$1&gt;=G13, (($F$1-G13)/(E13-G13))*(I13-L13)+L13,L13))),2)</f>
        <v>121.36</v>
      </c>
      <c r="N13" s="25">
        <f t="shared" ref="N13:N19" si="2">M13</f>
        <v>121.36</v>
      </c>
      <c r="O13" s="24">
        <f>N13*IF(AND($F$3=2,$F$1&lt;D13),0.8,IF(AND($F$3&gt;=3,$F$1&lt;D13),0.7,1))</f>
        <v>121.36</v>
      </c>
      <c r="P13" s="27">
        <f t="shared" si="0"/>
        <v>0</v>
      </c>
      <c r="Q13" s="16">
        <f>H13-O13</f>
        <v>0</v>
      </c>
      <c r="S13" s="16">
        <f t="shared" ref="S13:S31" si="3">ROUND(IF($F$1&gt;40000,136.37,IF($F$1&gt;25000,227.27,272.73)),2)</f>
        <v>227.27</v>
      </c>
      <c r="U13" s="9" t="s">
        <v>28</v>
      </c>
    </row>
    <row r="14" spans="1:21" x14ac:dyDescent="0.2">
      <c r="A14" s="11">
        <v>3</v>
      </c>
      <c r="B14" s="48" t="s">
        <v>11</v>
      </c>
      <c r="C14" s="54">
        <v>17000</v>
      </c>
      <c r="D14" s="50">
        <v>17000</v>
      </c>
      <c r="E14" s="50">
        <v>14000</v>
      </c>
      <c r="F14" s="50"/>
      <c r="G14" s="50">
        <v>5000</v>
      </c>
      <c r="H14" s="51">
        <v>91.02</v>
      </c>
      <c r="I14" s="51">
        <v>84.33</v>
      </c>
      <c r="J14" s="53"/>
      <c r="K14" s="53"/>
      <c r="L14" s="51">
        <v>24.15</v>
      </c>
      <c r="M14" s="34">
        <f t="shared" si="1"/>
        <v>91.02</v>
      </c>
      <c r="N14" s="25">
        <f t="shared" si="2"/>
        <v>91.02</v>
      </c>
      <c r="O14" s="24">
        <f>N14*IF(AND($F$3=2,$F$1&lt;D14),0.8,IF(AND($F$3&gt;=3,$F$1&lt;D14),0.7,1))</f>
        <v>91.02</v>
      </c>
      <c r="P14" s="27">
        <f t="shared" si="0"/>
        <v>0</v>
      </c>
      <c r="Q14" s="16">
        <f>H14-O14</f>
        <v>0</v>
      </c>
      <c r="S14" s="16">
        <f t="shared" si="3"/>
        <v>227.27</v>
      </c>
      <c r="U14" s="9" t="s">
        <v>28</v>
      </c>
    </row>
    <row r="15" spans="1:21" x14ac:dyDescent="0.2">
      <c r="A15" s="11">
        <v>4</v>
      </c>
      <c r="B15" s="48" t="s">
        <v>12</v>
      </c>
      <c r="C15" s="54">
        <v>17000</v>
      </c>
      <c r="D15" s="50">
        <v>17000</v>
      </c>
      <c r="E15" s="50">
        <v>14000</v>
      </c>
      <c r="F15" s="50"/>
      <c r="G15" s="50">
        <v>5000</v>
      </c>
      <c r="H15" s="51">
        <v>60.68</v>
      </c>
      <c r="I15" s="51">
        <v>56.22</v>
      </c>
      <c r="J15" s="53"/>
      <c r="K15" s="53"/>
      <c r="L15" s="51">
        <v>16.100000000000001</v>
      </c>
      <c r="M15" s="34">
        <f t="shared" si="1"/>
        <v>60.68</v>
      </c>
      <c r="N15" s="25">
        <f t="shared" si="2"/>
        <v>60.68</v>
      </c>
      <c r="O15" s="24">
        <f>N15*IF(AND($F$3=2,$F$1&lt;D15),0.8,IF(AND($F$3&gt;=3,$F$1&lt;D15),0.7,1))</f>
        <v>60.68</v>
      </c>
      <c r="P15" s="27">
        <f t="shared" si="0"/>
        <v>0</v>
      </c>
      <c r="Q15" s="16">
        <f>H15-O15</f>
        <v>0</v>
      </c>
      <c r="S15" s="16">
        <f t="shared" si="3"/>
        <v>227.27</v>
      </c>
      <c r="U15" s="9" t="s">
        <v>28</v>
      </c>
    </row>
    <row r="16" spans="1:21" x14ac:dyDescent="0.2">
      <c r="A16" s="11">
        <v>5</v>
      </c>
      <c r="B16" s="48" t="s">
        <v>13</v>
      </c>
      <c r="C16" s="54">
        <v>17000</v>
      </c>
      <c r="D16" s="50">
        <v>17000</v>
      </c>
      <c r="E16" s="50">
        <v>14000</v>
      </c>
      <c r="F16" s="50"/>
      <c r="G16" s="50">
        <v>5000</v>
      </c>
      <c r="H16" s="51">
        <v>30.34</v>
      </c>
      <c r="I16" s="51">
        <v>28.11</v>
      </c>
      <c r="J16" s="53"/>
      <c r="K16" s="53"/>
      <c r="L16" s="51">
        <v>8.0500000000000007</v>
      </c>
      <c r="M16" s="34">
        <f t="shared" si="1"/>
        <v>30.34</v>
      </c>
      <c r="N16" s="25">
        <f t="shared" si="2"/>
        <v>30.34</v>
      </c>
      <c r="O16" s="24">
        <f>N16*IF(AND($F$3=2,$F$1&lt;D16),0.8,IF(AND($F$3&gt;=3,$F$1&lt;D16),0.7,1))</f>
        <v>30.34</v>
      </c>
      <c r="P16" s="27">
        <f t="shared" si="0"/>
        <v>0</v>
      </c>
      <c r="Q16" s="16">
        <f>H16-O16</f>
        <v>0</v>
      </c>
      <c r="S16" s="16">
        <f t="shared" si="3"/>
        <v>227.27</v>
      </c>
      <c r="U16" s="9" t="s">
        <v>28</v>
      </c>
    </row>
    <row r="17" spans="1:22" x14ac:dyDescent="0.2">
      <c r="A17" s="11">
        <v>6</v>
      </c>
      <c r="B17" s="48" t="s">
        <v>1</v>
      </c>
      <c r="C17" s="49">
        <v>17000</v>
      </c>
      <c r="D17" s="50">
        <v>17000</v>
      </c>
      <c r="E17" s="50">
        <v>15000</v>
      </c>
      <c r="F17" s="50"/>
      <c r="G17" s="50">
        <v>0</v>
      </c>
      <c r="H17" s="51">
        <v>42.68</v>
      </c>
      <c r="I17" s="51">
        <v>30.83</v>
      </c>
      <c r="J17" s="53"/>
      <c r="K17" s="53"/>
      <c r="L17" s="51">
        <v>18.97</v>
      </c>
      <c r="M17" s="34">
        <f>IF(F1&gt;=D17,H17,IF(F1&gt;=E17,I17,L17))</f>
        <v>42.68</v>
      </c>
      <c r="N17" s="25">
        <f>M17</f>
        <v>42.68</v>
      </c>
      <c r="O17" s="24">
        <f>N17</f>
        <v>42.68</v>
      </c>
      <c r="P17" s="27">
        <f t="shared" si="0"/>
        <v>0</v>
      </c>
      <c r="Q17" s="16"/>
      <c r="S17" s="16">
        <f t="shared" si="3"/>
        <v>227.27</v>
      </c>
    </row>
    <row r="18" spans="1:22" x14ac:dyDescent="0.2">
      <c r="A18" s="11">
        <v>7</v>
      </c>
      <c r="B18" s="48" t="s">
        <v>14</v>
      </c>
      <c r="C18" s="49">
        <v>40000</v>
      </c>
      <c r="D18" s="50">
        <v>30000</v>
      </c>
      <c r="E18" s="50">
        <v>26000</v>
      </c>
      <c r="F18" s="50">
        <v>19000</v>
      </c>
      <c r="G18" s="50">
        <v>9000</v>
      </c>
      <c r="H18" s="51">
        <v>600</v>
      </c>
      <c r="I18" s="51">
        <v>471</v>
      </c>
      <c r="J18" s="52">
        <v>272.73</v>
      </c>
      <c r="K18" s="52">
        <v>260</v>
      </c>
      <c r="L18" s="51">
        <v>68</v>
      </c>
      <c r="M18" s="34">
        <f>IF(F1&gt;C18,H18,0)+IF(AND(F1&lt;=C18,F1&gt;D18),C32,0)+IF(AND(F1&lt;=D18,F1&gt;E18),D32,0)+IF(AND(F1&lt;=E18,F1&gt;F18),E32,0)+IF(AND(F1&lt;=F18,F1&gt;G18),F32,0)+IF(F1&lt;=G18,L18,0)</f>
        <v>272.73</v>
      </c>
      <c r="N18" s="25">
        <f>M18</f>
        <v>272.73</v>
      </c>
      <c r="O18" s="24">
        <f>N18*IF(AND($F$3=2,$F$1&lt;E18),0.8,IF(AND($F$3&gt;=3,$F$1&lt;E18),0.7,1))</f>
        <v>272.73</v>
      </c>
      <c r="P18" s="27">
        <f t="shared" si="0"/>
        <v>327.27</v>
      </c>
      <c r="Q18" s="28">
        <f>H18-O18</f>
        <v>327.27</v>
      </c>
      <c r="S18" s="16">
        <f t="shared" si="3"/>
        <v>227.27</v>
      </c>
      <c r="U18" s="9" t="s">
        <v>23</v>
      </c>
    </row>
    <row r="19" spans="1:22" x14ac:dyDescent="0.2">
      <c r="A19" s="11">
        <v>8</v>
      </c>
      <c r="B19" s="48" t="s">
        <v>15</v>
      </c>
      <c r="C19" s="49">
        <v>40000</v>
      </c>
      <c r="D19" s="50">
        <v>30000</v>
      </c>
      <c r="E19" s="50">
        <v>26000</v>
      </c>
      <c r="F19" s="50">
        <v>19000</v>
      </c>
      <c r="G19" s="50">
        <v>9000</v>
      </c>
      <c r="H19" s="51">
        <f t="shared" ref="H19:M19" si="4">H18*0.8</f>
        <v>480</v>
      </c>
      <c r="I19" s="51">
        <f t="shared" si="4"/>
        <v>376.8</v>
      </c>
      <c r="J19" s="51">
        <f t="shared" si="4"/>
        <v>218.18400000000003</v>
      </c>
      <c r="K19" s="51">
        <f t="shared" si="4"/>
        <v>208</v>
      </c>
      <c r="L19" s="51">
        <f t="shared" si="4"/>
        <v>54.400000000000006</v>
      </c>
      <c r="M19" s="34">
        <f t="shared" si="4"/>
        <v>218.18400000000003</v>
      </c>
      <c r="N19" s="25">
        <f t="shared" si="2"/>
        <v>218.18400000000003</v>
      </c>
      <c r="O19" s="24">
        <f>N19*IF(AND($F$3=2,$F$1&lt;E19),0.8,IF(AND($F$3&gt;=3,$F$1&lt;E19),0.7,1))</f>
        <v>218.18400000000003</v>
      </c>
      <c r="P19" s="27">
        <f t="shared" si="0"/>
        <v>261.81599999999997</v>
      </c>
      <c r="Q19" s="28">
        <f>H19-O19</f>
        <v>261.81599999999997</v>
      </c>
      <c r="S19" s="16">
        <f t="shared" si="3"/>
        <v>227.27</v>
      </c>
      <c r="U19" s="9" t="s">
        <v>23</v>
      </c>
    </row>
    <row r="20" spans="1:22" x14ac:dyDescent="0.2">
      <c r="A20" s="11">
        <v>9</v>
      </c>
      <c r="B20" s="48" t="s">
        <v>43</v>
      </c>
      <c r="C20" s="54">
        <v>17000</v>
      </c>
      <c r="D20" s="50">
        <v>17000</v>
      </c>
      <c r="E20" s="50">
        <v>14000</v>
      </c>
      <c r="F20" s="50"/>
      <c r="G20" s="50">
        <v>5000</v>
      </c>
      <c r="H20" s="51">
        <v>234.35</v>
      </c>
      <c r="I20" s="51">
        <v>140.55000000000001</v>
      </c>
      <c r="J20" s="53"/>
      <c r="K20" s="53"/>
      <c r="L20" s="51">
        <v>40.25</v>
      </c>
      <c r="M20" s="34">
        <f>ROUND(IF($F$1&gt;=D20,H20,IF($F$1&gt;=E20,(($F$1-E20)/(D20-E20))*(H20-I20)+I20,IF($F$1&gt;=G20, (($F$1-G20)/(E20-G20))*(I20-L20)+L20,L20))),2)</f>
        <v>234.35</v>
      </c>
      <c r="N20" s="25">
        <f>M20</f>
        <v>234.35</v>
      </c>
      <c r="O20" s="24">
        <f>N20*IF(AND($F$3=2,$F$1&lt;D20),0.8,IF(AND($F$3&gt;=3,$F$1&lt;D20),0.7,1))</f>
        <v>234.35</v>
      </c>
      <c r="P20" s="27">
        <f t="shared" ref="P20" si="5">H20-N20</f>
        <v>0</v>
      </c>
      <c r="Q20" s="16">
        <f>H20-O20</f>
        <v>0</v>
      </c>
      <c r="R20" s="16">
        <f>ROUND(P20/4,2)</f>
        <v>0</v>
      </c>
      <c r="S20" s="16">
        <f t="shared" si="3"/>
        <v>227.27</v>
      </c>
      <c r="T20" s="16">
        <f>ROUND(Q20/4,2)</f>
        <v>0</v>
      </c>
    </row>
    <row r="21" spans="1:22" x14ac:dyDescent="0.2">
      <c r="A21" s="11">
        <v>10</v>
      </c>
      <c r="B21" s="48" t="s">
        <v>44</v>
      </c>
      <c r="C21" s="54">
        <v>17000</v>
      </c>
      <c r="D21" s="50">
        <v>17000</v>
      </c>
      <c r="E21" s="50">
        <v>14000</v>
      </c>
      <c r="F21" s="50"/>
      <c r="G21" s="50">
        <v>5000</v>
      </c>
      <c r="H21" s="51">
        <v>223.35</v>
      </c>
      <c r="I21" s="51">
        <v>140.55000000000001</v>
      </c>
      <c r="J21" s="53"/>
      <c r="K21" s="53"/>
      <c r="L21" s="51">
        <v>40.25</v>
      </c>
      <c r="M21" s="34">
        <f t="shared" ref="M21:M26" si="6">ROUND(IF($F$1&gt;=D21,H21,IF($F$1&gt;=E21,(($F$1-E21)/(D21-E21))*(H21-I21)+I21,IF($F$1&gt;=G21, (($F$1-G21)/(E21-G21))*(I21-L21)+L21,L21))),2)</f>
        <v>223.35</v>
      </c>
      <c r="N21" s="25">
        <f t="shared" ref="N21:N26" si="7">M21</f>
        <v>223.35</v>
      </c>
      <c r="O21" s="24">
        <f t="shared" ref="O21:O26" si="8">N21*IF(AND($F$3=2,$F$1&lt;D21),0.8,IF(AND($F$3&gt;=3,$F$1&lt;D21),0.7,1))</f>
        <v>223.35</v>
      </c>
      <c r="P21" s="27">
        <f t="shared" ref="P21:P31" si="9">H21-N21</f>
        <v>0</v>
      </c>
      <c r="Q21" s="16">
        <f t="shared" ref="Q21:Q26" si="10">H21-O21</f>
        <v>0</v>
      </c>
      <c r="R21" s="16">
        <f t="shared" ref="R21:R26" si="11">ROUND(P21/4,2)</f>
        <v>0</v>
      </c>
      <c r="S21" s="16">
        <f t="shared" si="3"/>
        <v>227.27</v>
      </c>
      <c r="T21" s="16">
        <f t="shared" ref="T21:T26" si="12">ROUND(Q21/4,2)</f>
        <v>0</v>
      </c>
    </row>
    <row r="22" spans="1:22" x14ac:dyDescent="0.2">
      <c r="A22" s="11">
        <v>11</v>
      </c>
      <c r="B22" s="48" t="s">
        <v>45</v>
      </c>
      <c r="C22" s="54">
        <v>17000</v>
      </c>
      <c r="D22" s="50">
        <v>17000</v>
      </c>
      <c r="E22" s="50">
        <v>14000</v>
      </c>
      <c r="F22" s="50"/>
      <c r="G22" s="50">
        <v>5000</v>
      </c>
      <c r="H22" s="51">
        <v>215.85</v>
      </c>
      <c r="I22" s="51">
        <v>140.55000000000001</v>
      </c>
      <c r="J22" s="53"/>
      <c r="K22" s="53"/>
      <c r="L22" s="51">
        <v>40.25</v>
      </c>
      <c r="M22" s="34">
        <f t="shared" si="6"/>
        <v>215.85</v>
      </c>
      <c r="N22" s="25">
        <f t="shared" si="7"/>
        <v>215.85</v>
      </c>
      <c r="O22" s="24">
        <f t="shared" si="8"/>
        <v>215.85</v>
      </c>
      <c r="P22" s="27">
        <f t="shared" si="9"/>
        <v>0</v>
      </c>
      <c r="Q22" s="16">
        <f t="shared" si="10"/>
        <v>0</v>
      </c>
      <c r="R22" s="16">
        <f t="shared" si="11"/>
        <v>0</v>
      </c>
      <c r="S22" s="16">
        <f t="shared" si="3"/>
        <v>227.27</v>
      </c>
      <c r="T22" s="16">
        <f t="shared" si="12"/>
        <v>0</v>
      </c>
    </row>
    <row r="23" spans="1:22" x14ac:dyDescent="0.2">
      <c r="A23" s="11">
        <v>12</v>
      </c>
      <c r="B23" s="48" t="s">
        <v>46</v>
      </c>
      <c r="C23" s="54">
        <v>17000</v>
      </c>
      <c r="D23" s="50">
        <v>17000</v>
      </c>
      <c r="E23" s="50">
        <v>14000</v>
      </c>
      <c r="F23" s="50"/>
      <c r="G23" s="50">
        <v>5000</v>
      </c>
      <c r="H23" s="51">
        <v>235.85</v>
      </c>
      <c r="I23" s="51">
        <v>140.55000000000001</v>
      </c>
      <c r="J23" s="53"/>
      <c r="K23" s="53"/>
      <c r="L23" s="51">
        <v>40.25</v>
      </c>
      <c r="M23" s="34">
        <f t="shared" si="6"/>
        <v>235.85</v>
      </c>
      <c r="N23" s="25">
        <f t="shared" si="7"/>
        <v>235.85</v>
      </c>
      <c r="O23" s="24">
        <f t="shared" si="8"/>
        <v>235.85</v>
      </c>
      <c r="P23" s="27">
        <f t="shared" si="9"/>
        <v>0</v>
      </c>
      <c r="Q23" s="16">
        <f t="shared" si="10"/>
        <v>0</v>
      </c>
      <c r="R23" s="16">
        <f t="shared" si="11"/>
        <v>0</v>
      </c>
      <c r="S23" s="16">
        <f t="shared" si="3"/>
        <v>227.27</v>
      </c>
      <c r="T23" s="16">
        <f t="shared" si="12"/>
        <v>0</v>
      </c>
    </row>
    <row r="24" spans="1:22" x14ac:dyDescent="0.2">
      <c r="A24" s="11">
        <v>13</v>
      </c>
      <c r="B24" s="48" t="s">
        <v>47</v>
      </c>
      <c r="C24" s="54">
        <v>17000</v>
      </c>
      <c r="D24" s="50">
        <v>17000</v>
      </c>
      <c r="E24" s="50">
        <v>14000</v>
      </c>
      <c r="F24" s="50"/>
      <c r="G24" s="50">
        <v>5000</v>
      </c>
      <c r="H24" s="51">
        <v>210.85</v>
      </c>
      <c r="I24" s="51">
        <v>140.55000000000001</v>
      </c>
      <c r="J24" s="53"/>
      <c r="K24" s="53"/>
      <c r="L24" s="51">
        <v>40.25</v>
      </c>
      <c r="M24" s="34">
        <f t="shared" si="6"/>
        <v>210.85</v>
      </c>
      <c r="N24" s="25">
        <f t="shared" si="7"/>
        <v>210.85</v>
      </c>
      <c r="O24" s="24">
        <f t="shared" si="8"/>
        <v>210.85</v>
      </c>
      <c r="P24" s="27">
        <f t="shared" si="9"/>
        <v>0</v>
      </c>
      <c r="Q24" s="16">
        <f t="shared" si="10"/>
        <v>0</v>
      </c>
      <c r="R24" s="16">
        <f t="shared" si="11"/>
        <v>0</v>
      </c>
      <c r="S24" s="16">
        <f t="shared" si="3"/>
        <v>227.27</v>
      </c>
      <c r="T24" s="16">
        <f t="shared" si="12"/>
        <v>0</v>
      </c>
    </row>
    <row r="25" spans="1:22" x14ac:dyDescent="0.2">
      <c r="A25" s="11">
        <v>14</v>
      </c>
      <c r="B25" s="48" t="s">
        <v>48</v>
      </c>
      <c r="C25" s="54">
        <v>17000</v>
      </c>
      <c r="D25" s="50">
        <v>17000</v>
      </c>
      <c r="E25" s="50">
        <v>14000</v>
      </c>
      <c r="F25" s="50"/>
      <c r="G25" s="50">
        <v>5000</v>
      </c>
      <c r="H25" s="51">
        <v>210.85</v>
      </c>
      <c r="I25" s="51">
        <v>140.55000000000001</v>
      </c>
      <c r="J25" s="53"/>
      <c r="K25" s="53"/>
      <c r="L25" s="51">
        <v>40.25</v>
      </c>
      <c r="M25" s="34">
        <f t="shared" si="6"/>
        <v>210.85</v>
      </c>
      <c r="N25" s="25">
        <f t="shared" si="7"/>
        <v>210.85</v>
      </c>
      <c r="O25" s="24">
        <f t="shared" si="8"/>
        <v>210.85</v>
      </c>
      <c r="P25" s="27">
        <f t="shared" si="9"/>
        <v>0</v>
      </c>
      <c r="Q25" s="16">
        <f t="shared" si="10"/>
        <v>0</v>
      </c>
      <c r="R25" s="16">
        <f t="shared" si="11"/>
        <v>0</v>
      </c>
      <c r="S25" s="16">
        <f t="shared" si="3"/>
        <v>227.27</v>
      </c>
      <c r="T25" s="16">
        <f t="shared" si="12"/>
        <v>0</v>
      </c>
    </row>
    <row r="26" spans="1:22" x14ac:dyDescent="0.2">
      <c r="A26" s="11">
        <v>15</v>
      </c>
      <c r="B26" s="48" t="s">
        <v>49</v>
      </c>
      <c r="C26" s="54">
        <v>17000</v>
      </c>
      <c r="D26" s="50">
        <v>17000</v>
      </c>
      <c r="E26" s="50">
        <v>14000</v>
      </c>
      <c r="F26" s="50"/>
      <c r="G26" s="50">
        <v>5000</v>
      </c>
      <c r="H26" s="51">
        <v>218.35</v>
      </c>
      <c r="I26" s="51">
        <v>140.55000000000001</v>
      </c>
      <c r="J26" s="53"/>
      <c r="K26" s="53"/>
      <c r="L26" s="51">
        <v>40.25</v>
      </c>
      <c r="M26" s="34">
        <f t="shared" si="6"/>
        <v>218.35</v>
      </c>
      <c r="N26" s="25">
        <f t="shared" si="7"/>
        <v>218.35</v>
      </c>
      <c r="O26" s="24">
        <f t="shared" si="8"/>
        <v>218.35</v>
      </c>
      <c r="P26" s="27">
        <f t="shared" si="9"/>
        <v>0</v>
      </c>
      <c r="Q26" s="16">
        <f t="shared" si="10"/>
        <v>0</v>
      </c>
      <c r="R26" s="16">
        <f t="shared" si="11"/>
        <v>0</v>
      </c>
      <c r="S26" s="16">
        <f t="shared" si="3"/>
        <v>227.27</v>
      </c>
      <c r="T26" s="16">
        <f t="shared" si="12"/>
        <v>0</v>
      </c>
    </row>
    <row r="27" spans="1:22" x14ac:dyDescent="0.2">
      <c r="A27" s="11">
        <v>16</v>
      </c>
      <c r="B27" s="48" t="s">
        <v>50</v>
      </c>
      <c r="C27" s="54">
        <v>17000</v>
      </c>
      <c r="D27" s="50">
        <v>17000</v>
      </c>
      <c r="E27" s="50">
        <v>14000</v>
      </c>
      <c r="F27" s="50"/>
      <c r="G27" s="50">
        <v>5000</v>
      </c>
      <c r="H27" s="51">
        <v>151.69999999999999</v>
      </c>
      <c r="I27" s="51">
        <v>140.55000000000001</v>
      </c>
      <c r="J27" s="53"/>
      <c r="K27" s="53"/>
      <c r="L27" s="51">
        <v>40.25</v>
      </c>
      <c r="M27" s="34">
        <f>ROUND(IF($F$1&gt;=D27,H27,IF($F$1&gt;=E27,(($F$1-E27)/(D27-E27))*(H27-I27)+I27,IF($F$1&gt;=G27, (($F$1-G27)/(E27-G27))*(I27-L27)+L27,L27))),2)</f>
        <v>151.69999999999999</v>
      </c>
      <c r="N27" s="25">
        <f>M27</f>
        <v>151.69999999999999</v>
      </c>
      <c r="O27" s="24">
        <f>N27*IF(AND($F$3=2,$F$1&lt;D27),0.8,IF(AND($F$3&gt;=3,$F$1&lt;D27),0.7,1))</f>
        <v>151.69999999999999</v>
      </c>
      <c r="P27" s="27">
        <f t="shared" si="9"/>
        <v>0</v>
      </c>
      <c r="Q27" s="16">
        <f>H27-O27</f>
        <v>0</v>
      </c>
      <c r="R27" s="16">
        <f>ROUND(P27/4,2)</f>
        <v>0</v>
      </c>
      <c r="S27" s="16">
        <f t="shared" si="3"/>
        <v>227.27</v>
      </c>
      <c r="T27" s="16">
        <f>ROUND(Q27/4,2)</f>
        <v>0</v>
      </c>
      <c r="U27" s="9" t="s">
        <v>55</v>
      </c>
    </row>
    <row r="28" spans="1:22" x14ac:dyDescent="0.2">
      <c r="A28" s="11">
        <v>17</v>
      </c>
      <c r="B28" s="48" t="s">
        <v>51</v>
      </c>
      <c r="C28" s="54">
        <v>17000</v>
      </c>
      <c r="D28" s="50">
        <v>17000</v>
      </c>
      <c r="E28" s="50">
        <v>14000</v>
      </c>
      <c r="F28" s="50"/>
      <c r="G28" s="50">
        <v>5000</v>
      </c>
      <c r="H28" s="51">
        <v>121.36</v>
      </c>
      <c r="I28" s="51">
        <v>112.44</v>
      </c>
      <c r="J28" s="53"/>
      <c r="K28" s="53"/>
      <c r="L28" s="51">
        <v>32.200000000000003</v>
      </c>
      <c r="M28" s="34">
        <f t="shared" ref="M28:M31" si="13">ROUND(IF($F$1&gt;=D28,H28,IF($F$1&gt;=E28,(($F$1-E28)/(D28-E28))*(H28-I28)+I28,IF($F$1&gt;=G28, (($F$1-G28)/(E28-G28))*(I28-L28)+L28,L28))),2)</f>
        <v>121.36</v>
      </c>
      <c r="N28" s="25">
        <f t="shared" ref="N28:N31" si="14">M28</f>
        <v>121.36</v>
      </c>
      <c r="O28" s="24">
        <f>N28*IF(AND($F$3=2,$F$1&lt;D28),0.8,IF(AND($F$3&gt;=3,$F$1&lt;D28),0.7,1))</f>
        <v>121.36</v>
      </c>
      <c r="P28" s="27">
        <f t="shared" si="9"/>
        <v>0</v>
      </c>
      <c r="Q28" s="16">
        <f>H28-O28</f>
        <v>0</v>
      </c>
      <c r="S28" s="16">
        <f t="shared" si="3"/>
        <v>227.27</v>
      </c>
      <c r="U28" s="9" t="s">
        <v>55</v>
      </c>
    </row>
    <row r="29" spans="1:22" x14ac:dyDescent="0.2">
      <c r="A29" s="11">
        <v>18</v>
      </c>
      <c r="B29" s="48" t="s">
        <v>52</v>
      </c>
      <c r="C29" s="54">
        <v>17000</v>
      </c>
      <c r="D29" s="50">
        <v>17000</v>
      </c>
      <c r="E29" s="50">
        <v>14000</v>
      </c>
      <c r="F29" s="50"/>
      <c r="G29" s="50">
        <v>5000</v>
      </c>
      <c r="H29" s="51">
        <v>91.02</v>
      </c>
      <c r="I29" s="51">
        <v>84.33</v>
      </c>
      <c r="J29" s="53"/>
      <c r="K29" s="53"/>
      <c r="L29" s="51">
        <v>24.15</v>
      </c>
      <c r="M29" s="34">
        <f t="shared" si="13"/>
        <v>91.02</v>
      </c>
      <c r="N29" s="25">
        <f t="shared" si="14"/>
        <v>91.02</v>
      </c>
      <c r="O29" s="24">
        <f>N29*IF(AND($F$3=2,$F$1&lt;D29),0.8,IF(AND($F$3&gt;=3,$F$1&lt;D29),0.7,1))</f>
        <v>91.02</v>
      </c>
      <c r="P29" s="27">
        <f t="shared" si="9"/>
        <v>0</v>
      </c>
      <c r="Q29" s="16">
        <f>H29-O29</f>
        <v>0</v>
      </c>
      <c r="S29" s="16">
        <f t="shared" si="3"/>
        <v>227.27</v>
      </c>
      <c r="U29" s="9" t="s">
        <v>55</v>
      </c>
    </row>
    <row r="30" spans="1:22" x14ac:dyDescent="0.2">
      <c r="A30" s="11">
        <v>19</v>
      </c>
      <c r="B30" s="48" t="s">
        <v>53</v>
      </c>
      <c r="C30" s="54">
        <v>17000</v>
      </c>
      <c r="D30" s="50">
        <v>17000</v>
      </c>
      <c r="E30" s="50">
        <v>14000</v>
      </c>
      <c r="F30" s="50"/>
      <c r="G30" s="50">
        <v>5000</v>
      </c>
      <c r="H30" s="51">
        <v>60.68</v>
      </c>
      <c r="I30" s="51">
        <v>56.22</v>
      </c>
      <c r="J30" s="53"/>
      <c r="K30" s="53"/>
      <c r="L30" s="51">
        <v>16.100000000000001</v>
      </c>
      <c r="M30" s="34">
        <f t="shared" si="13"/>
        <v>60.68</v>
      </c>
      <c r="N30" s="25">
        <f t="shared" si="14"/>
        <v>60.68</v>
      </c>
      <c r="O30" s="24">
        <f>N30*IF(AND($F$3=2,$F$1&lt;D30),0.8,IF(AND($F$3&gt;=3,$F$1&lt;D30),0.7,1))</f>
        <v>60.68</v>
      </c>
      <c r="P30" s="27">
        <f t="shared" si="9"/>
        <v>0</v>
      </c>
      <c r="Q30" s="16">
        <f>H30-O30</f>
        <v>0</v>
      </c>
      <c r="S30" s="16">
        <f t="shared" si="3"/>
        <v>227.27</v>
      </c>
      <c r="U30" s="9" t="s">
        <v>55</v>
      </c>
      <c r="V30" s="41"/>
    </row>
    <row r="31" spans="1:22" x14ac:dyDescent="0.2">
      <c r="A31" s="11">
        <v>20</v>
      </c>
      <c r="B31" s="48" t="s">
        <v>54</v>
      </c>
      <c r="C31" s="54">
        <v>17000</v>
      </c>
      <c r="D31" s="50">
        <v>17000</v>
      </c>
      <c r="E31" s="50">
        <v>14000</v>
      </c>
      <c r="F31" s="50"/>
      <c r="G31" s="50">
        <v>5000</v>
      </c>
      <c r="H31" s="51">
        <v>30.34</v>
      </c>
      <c r="I31" s="51">
        <v>28.11</v>
      </c>
      <c r="J31" s="53"/>
      <c r="K31" s="53"/>
      <c r="L31" s="51">
        <v>8.0500000000000007</v>
      </c>
      <c r="M31" s="34">
        <f t="shared" si="13"/>
        <v>30.34</v>
      </c>
      <c r="N31" s="25">
        <f t="shared" si="14"/>
        <v>30.34</v>
      </c>
      <c r="O31" s="24">
        <f>N31*IF(AND($F$3=2,$F$1&lt;D31),0.8,IF(AND($F$3&gt;=3,$F$1&lt;D31),0.7,1))</f>
        <v>30.34</v>
      </c>
      <c r="P31" s="27">
        <f t="shared" si="9"/>
        <v>0</v>
      </c>
      <c r="Q31" s="16">
        <f>H31-O31</f>
        <v>0</v>
      </c>
      <c r="S31" s="16">
        <f t="shared" si="3"/>
        <v>227.27</v>
      </c>
      <c r="U31" s="9" t="s">
        <v>55</v>
      </c>
      <c r="V31" s="41"/>
    </row>
    <row r="32" spans="1:22" x14ac:dyDescent="0.2">
      <c r="A32" s="11"/>
      <c r="B32" s="46"/>
      <c r="C32" s="47">
        <f>($F$1-D18)*(H18-I18)/(C18-D18)+I18</f>
        <v>419.4</v>
      </c>
      <c r="D32" s="35">
        <f>($F$1-E18)*(I18-J18)/(D18-E18)+J18</f>
        <v>272.73</v>
      </c>
      <c r="E32" s="35">
        <f>($F$1-F18)*(J18-K18)/(E18-F18)+K18</f>
        <v>272.73</v>
      </c>
      <c r="F32" s="35">
        <f>($F$1-G18)*(K18-L18)/(F18-G18)+L18</f>
        <v>394.4</v>
      </c>
      <c r="G32" s="35">
        <f>($F$1-H18)*(L18-M18)/(G18-H18)+M18</f>
        <v>-346.33452380952383</v>
      </c>
    </row>
    <row r="35" spans="3:3" x14ac:dyDescent="0.2">
      <c r="C35" s="37"/>
    </row>
  </sheetData>
  <mergeCells count="12">
    <mergeCell ref="B1:C1"/>
    <mergeCell ref="B2:C2"/>
    <mergeCell ref="B3:C3"/>
    <mergeCell ref="F1:G1"/>
    <mergeCell ref="F2:G2"/>
    <mergeCell ref="F3:G3"/>
    <mergeCell ref="G10:M10"/>
    <mergeCell ref="N10:O10"/>
    <mergeCell ref="B6:E6"/>
    <mergeCell ref="B5:E5"/>
    <mergeCell ref="B7:E7"/>
    <mergeCell ref="B8:E8"/>
  </mergeCells>
  <phoneticPr fontId="0" type="noConversion"/>
  <conditionalFormatting sqref="D34">
    <cfRule type="expression" dxfId="6" priority="1">
      <formula>FIND($B$20,"Infanzia",1)</formula>
    </cfRule>
  </conditionalFormatting>
  <pageMargins left="0.75" right="0.75" top="1" bottom="1" header="0.5" footer="0.5"/>
  <pageSetup paperSize="9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Modulo</vt:lpstr>
      <vt:lpstr>Dati</vt:lpstr>
    </vt:vector>
  </TitlesOfParts>
  <Company>Comune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Amadeig</dc:creator>
  <cp:lastModifiedBy>Paolo Battilani</cp:lastModifiedBy>
  <cp:lastPrinted>2016-04-15T09:07:06Z</cp:lastPrinted>
  <dcterms:created xsi:type="dcterms:W3CDTF">2004-07-12T09:02:42Z</dcterms:created>
  <dcterms:modified xsi:type="dcterms:W3CDTF">2025-06-09T09:24:34Z</dcterms:modified>
</cp:coreProperties>
</file>